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hindsgaul-nissen/Desktop/"/>
    </mc:Choice>
  </mc:AlternateContent>
  <xr:revisionPtr revIDLastSave="0" documentId="8_{BD966B0C-0EC5-4647-9DC0-2599EFB43978}" xr6:coauthVersionLast="46" xr6:coauthVersionMax="46" xr10:uidLastSave="{00000000-0000-0000-0000-000000000000}"/>
  <bookViews>
    <workbookView xWindow="0" yWindow="0" windowWidth="28800" windowHeight="18000" xr2:uid="{367AD072-BFEC-4240-BA13-B9B93CEBDE19}"/>
  </bookViews>
  <sheets>
    <sheet name="Calculator" sheetId="1" r:id="rId1"/>
    <sheet name="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32" i="1" s="1"/>
  <c r="D14" i="1"/>
  <c r="D16" i="1" a="1"/>
  <c r="D16" i="1" s="1"/>
  <c r="D17" i="1" s="1"/>
  <c r="D33" i="1" s="1"/>
  <c r="D18" i="1"/>
  <c r="B19" i="2"/>
  <c r="B18" i="2"/>
  <c r="B17" i="2"/>
  <c r="B16" i="2"/>
  <c r="B15" i="2"/>
  <c r="B14" i="2"/>
  <c r="B13" i="2"/>
  <c r="B12" i="2"/>
  <c r="B10" i="2"/>
  <c r="B9" i="2"/>
  <c r="B8" i="2"/>
  <c r="B7" i="2"/>
  <c r="D31" i="1" l="1"/>
  <c r="B33" i="1"/>
  <c r="D12" i="1"/>
  <c r="D24" i="1"/>
  <c r="D30" i="1"/>
  <c r="D22" i="1"/>
  <c r="D23" i="1"/>
  <c r="D25" i="1"/>
  <c r="D34" i="1" l="1"/>
  <c r="D26" i="1"/>
  <c r="D37" i="1"/>
  <c r="D39" i="1" l="1"/>
  <c r="D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<sst xmlns="http://schemas.openxmlformats.org/spreadsheetml/2006/main" count="123" uniqueCount="65">
  <si>
    <t>CO2 Calculator</t>
  </si>
  <si>
    <t>Total wastewater volume per year</t>
  </si>
  <si>
    <t>Total water content (%)</t>
  </si>
  <si>
    <t xml:space="preserve">Distance to external disposal </t>
  </si>
  <si>
    <t>Existing water treatment solution?</t>
  </si>
  <si>
    <t>Amount of reused water</t>
  </si>
  <si>
    <t>m³</t>
  </si>
  <si>
    <t>km</t>
  </si>
  <si>
    <t>Water consumption</t>
  </si>
  <si>
    <t xml:space="preserve">Transport </t>
  </si>
  <si>
    <t>External Disposal</t>
  </si>
  <si>
    <t>External disposal</t>
  </si>
  <si>
    <t>Electrical consumption recycling system</t>
  </si>
  <si>
    <t>Total</t>
  </si>
  <si>
    <t>CO2 savings - With Envotherm Technology</t>
  </si>
  <si>
    <t>Transport</t>
  </si>
  <si>
    <t>Data</t>
  </si>
  <si>
    <t xml:space="preserve">Co2e </t>
  </si>
  <si>
    <t>Units</t>
  </si>
  <si>
    <t>Reference</t>
  </si>
  <si>
    <t>quantity ava</t>
  </si>
  <si>
    <t>Truck, trailer</t>
  </si>
  <si>
    <t>Co2e/tonxkm</t>
  </si>
  <si>
    <t xml:space="preserve">Idemat </t>
  </si>
  <si>
    <t>Spildevands rensning</t>
  </si>
  <si>
    <t>Co2e/kg</t>
  </si>
  <si>
    <t>EXIOBASE</t>
  </si>
  <si>
    <t xml:space="preserve">Frisk vand </t>
  </si>
  <si>
    <t>Co2e/m3</t>
  </si>
  <si>
    <t>Energi styrrelsen</t>
  </si>
  <si>
    <t>El</t>
  </si>
  <si>
    <t>Co2e/kwh</t>
  </si>
  <si>
    <t xml:space="preserve">Bio recycling system </t>
  </si>
  <si>
    <t>kg Co2e/m3</t>
  </si>
  <si>
    <t>Vacuum evaporation 30C.</t>
  </si>
  <si>
    <t>envotherm</t>
  </si>
  <si>
    <t>kwh/m3</t>
  </si>
  <si>
    <t>Evaporation 87C.</t>
  </si>
  <si>
    <t>Waste water (incineration)</t>
  </si>
  <si>
    <t>None</t>
  </si>
  <si>
    <t>Envotherm ZLD 1</t>
  </si>
  <si>
    <t xml:space="preserve">m3 </t>
  </si>
  <si>
    <t>Envotherm ZLD 2</t>
  </si>
  <si>
    <t>Envotherm ZLD 3</t>
  </si>
  <si>
    <t>Envotherm ZLD 4</t>
  </si>
  <si>
    <t>Envotherm ZLD 5</t>
  </si>
  <si>
    <t>Envotherm ZLD 6</t>
  </si>
  <si>
    <t>Envotherm ZLD 7</t>
  </si>
  <si>
    <t>Envotherm ZLD 10</t>
  </si>
  <si>
    <t>lookup system</t>
  </si>
  <si>
    <t>lookup envotherm</t>
  </si>
  <si>
    <t>lookup kWh envotherm</t>
  </si>
  <si>
    <t>kWh</t>
  </si>
  <si>
    <t>Water consumption no reuse</t>
  </si>
  <si>
    <t>m3</t>
  </si>
  <si>
    <t>Water consumption with recycling</t>
  </si>
  <si>
    <t>kWh savings per year</t>
  </si>
  <si>
    <t>kg CO₂e savings per year</t>
  </si>
  <si>
    <t>CO₂e reduction per year</t>
  </si>
  <si>
    <r>
      <t>kg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e</t>
    </r>
  </si>
  <si>
    <r>
      <t>kg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e</t>
    </r>
  </si>
  <si>
    <r>
      <t>kg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e</t>
    </r>
  </si>
  <si>
    <t>Your wastewater</t>
  </si>
  <si>
    <t>Your Current CO2 emission</t>
  </si>
  <si>
    <t>Your ideal solution-size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</si>
</sst>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2" borderId="1" xfId="1" applyFont="1"/>
    <xf numFmtId="0" fontId="4" fillId="2" borderId="2" xfId="1" applyFont="1" applyBorder="1"/>
    <xf numFmtId="0" fontId="3" fillId="0" borderId="0" xfId="0" applyFont="1"/>
    <xf numFmtId="0" fontId="6" fillId="0" borderId="0" xfId="0" applyFont="1"/>
    <xf numFmtId="0" fontId="8" fillId="0" borderId="0" xfId="0" applyFont="1"/>
    <xf numFmtId="0" fontId="8" fillId="0" borderId="10" xfId="0" applyFont="1" applyBorder="1"/>
    <xf numFmtId="0" fontId="8" fillId="0" borderId="11" xfId="0" applyFont="1" applyBorder="1"/>
    <xf numFmtId="9" fontId="3" fillId="0" borderId="3" xfId="0" applyNumberFormat="1" applyFont="1" applyBorder="1"/>
    <xf numFmtId="9" fontId="3" fillId="0" borderId="7" xfId="0" applyNumberFormat="1" applyFont="1" applyBorder="1"/>
    <xf numFmtId="0" fontId="2" fillId="0" borderId="0" xfId="0" applyFont="1" applyBorder="1"/>
    <xf numFmtId="0" fontId="2" fillId="5" borderId="12" xfId="0" applyFont="1" applyFill="1" applyBorder="1"/>
    <xf numFmtId="0" fontId="2" fillId="5" borderId="9" xfId="0" applyFont="1" applyFill="1" applyBorder="1"/>
    <xf numFmtId="0" fontId="2" fillId="6" borderId="12" xfId="0" applyFont="1" applyFill="1" applyBorder="1"/>
    <xf numFmtId="0" fontId="2" fillId="6" borderId="9" xfId="0" applyFont="1" applyFill="1" applyBorder="1"/>
    <xf numFmtId="0" fontId="3" fillId="5" borderId="12" xfId="0" applyFont="1" applyFill="1" applyBorder="1"/>
    <xf numFmtId="0" fontId="3" fillId="5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165" fontId="3" fillId="4" borderId="3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Border="1"/>
    <xf numFmtId="165" fontId="3" fillId="0" borderId="13" xfId="0" applyNumberFormat="1" applyFont="1" applyBorder="1"/>
    <xf numFmtId="165" fontId="2" fillId="0" borderId="0" xfId="0" applyNumberFormat="1" applyFont="1" applyAlignment="1">
      <alignment horizontal="right"/>
    </xf>
    <xf numFmtId="165" fontId="4" fillId="2" borderId="2" xfId="1" applyNumberFormat="1" applyFont="1" applyBorder="1"/>
    <xf numFmtId="165" fontId="4" fillId="2" borderId="1" xfId="1" applyNumberFormat="1" applyFont="1"/>
    <xf numFmtId="165" fontId="2" fillId="0" borderId="0" xfId="0" applyNumberFormat="1" applyFont="1"/>
    <xf numFmtId="165" fontId="2" fillId="5" borderId="9" xfId="0" applyNumberFormat="1" applyFont="1" applyFill="1" applyBorder="1"/>
    <xf numFmtId="165" fontId="2" fillId="6" borderId="9" xfId="0" applyNumberFormat="1" applyFont="1" applyFill="1" applyBorder="1"/>
    <xf numFmtId="165" fontId="3" fillId="5" borderId="9" xfId="0" applyNumberFormat="1" applyFont="1" applyFill="1" applyBorder="1"/>
    <xf numFmtId="165" fontId="3" fillId="0" borderId="0" xfId="0" applyNumberFormat="1" applyFont="1"/>
    <xf numFmtId="9" fontId="8" fillId="0" borderId="10" xfId="0" applyNumberFormat="1" applyFont="1" applyBorder="1"/>
    <xf numFmtId="165" fontId="8" fillId="0" borderId="11" xfId="0" applyNumberFormat="1" applyFont="1" applyBorder="1"/>
    <xf numFmtId="1" fontId="3" fillId="0" borderId="3" xfId="0" applyNumberFormat="1" applyFont="1" applyBorder="1"/>
    <xf numFmtId="1" fontId="8" fillId="0" borderId="0" xfId="0" applyNumberFormat="1" applyFont="1"/>
  </cellXfs>
  <cellStyles count="2">
    <cellStyle name="Beregning" xfId="1" builtinId="22"/>
    <cellStyle name="Normal" xfId="0" builtinId="0"/>
  </cellStyles>
  <dxfs count="25">
    <dxf>
      <font>
        <b/>
        <strike val="0"/>
        <outline val="0"/>
        <shadow val="0"/>
        <u val="none"/>
        <sz val="16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sz val="16"/>
        <color theme="1"/>
        <name val="Calibri"/>
        <family val="2"/>
        <scheme val="minor"/>
      </font>
      <numFmt numFmtId="165" formatCode="0.0"/>
    </dxf>
    <dxf>
      <font>
        <b/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  <numFmt numFmtId="165" formatCode="0.0"/>
    </dxf>
    <dxf>
      <font>
        <b/>
        <strike val="0"/>
        <outline val="0"/>
        <shadow val="0"/>
        <u val="none"/>
        <sz val="14"/>
        <name val="Calibri"/>
        <family val="2"/>
        <scheme val="minor"/>
      </font>
      <numFmt numFmtId="165" formatCode="0.0"/>
    </dxf>
    <dxf>
      <font>
        <b/>
        <strike val="0"/>
        <outline val="0"/>
        <shadow val="0"/>
        <u val="none"/>
        <sz val="14"/>
        <name val="Calibri"/>
        <family val="2"/>
        <scheme val="minor"/>
      </font>
    </dxf>
    <dxf>
      <font>
        <b/>
        <strike val="0"/>
        <outline val="0"/>
        <shadow val="0"/>
        <u val="none"/>
        <sz val="14"/>
        <name val="Calibri"/>
        <family val="2"/>
        <scheme val="minor"/>
      </font>
    </dxf>
    <dxf>
      <font>
        <b/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</dxf>
    <dxf>
      <font>
        <strike val="0"/>
        <outline val="0"/>
        <shadow val="0"/>
        <u val="no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4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190500</xdr:rowOff>
    </xdr:from>
    <xdr:to>
      <xdr:col>4</xdr:col>
      <xdr:colOff>704215</xdr:colOff>
      <xdr:row>1</xdr:row>
      <xdr:rowOff>644525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7A09E9E-64B7-2842-8C78-A83751D56F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90500"/>
          <a:ext cx="577151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38100</xdr:rowOff>
    </xdr:from>
    <xdr:to>
      <xdr:col>4</xdr:col>
      <xdr:colOff>825500</xdr:colOff>
      <xdr:row>36</xdr:row>
      <xdr:rowOff>12700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B7E14D4B-768A-5B40-9494-451E06F9AC09}"/>
            </a:ext>
          </a:extLst>
        </xdr:cNvPr>
        <xdr:cNvSpPr/>
      </xdr:nvSpPr>
      <xdr:spPr>
        <a:xfrm>
          <a:off x="241300" y="3060700"/>
          <a:ext cx="5994400" cy="466090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4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FAD46C-620E-E941-A9CA-A78C0AFE5D1D}" name="Tabel3" displayName="Tabel3" ref="B6:E10" headerRowCount="0" totalsRowShown="0" headerRowDxfId="14" dataDxfId="13" headerRowBorderDxfId="23" tableBorderDxfId="24" totalsRowBorderDxfId="22">
  <tableColumns count="4">
    <tableColumn id="1" xr3:uid="{EE7491FC-6732-E249-A636-A09B1D6AAF3E}" name="Kolonne1" headerRowDxfId="18" dataDxfId="17"/>
    <tableColumn id="2" xr3:uid="{8B2BB73F-D9CD-C04B-BA1C-5C4CEFF7313A}" name="Kolonne2" headerRowDxfId="19" dataDxfId="16"/>
    <tableColumn id="3" xr3:uid="{66A36583-DDF0-DD41-A37C-92E829A2AF18}" name="Kolonne3" headerRowDxfId="20" dataDxfId="4"/>
    <tableColumn id="4" xr3:uid="{00156F41-31ED-C943-801C-BE6F60E7B981}" name="Kolonne4" headerRowDxfId="21" dataDxfId="15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C06694-A258-2641-9ABF-D0CE1A722CBB}" name="Tabel7" displayName="Tabel7" ref="B30:E34" headerRowCount="0" totalsRowShown="0" headerRowDxfId="9" dataDxfId="8">
  <tableColumns count="4">
    <tableColumn id="1" xr3:uid="{0FF971BB-F092-0740-8861-3C5E2EE040DF}" name="Kolonne1" dataDxfId="12"/>
    <tableColumn id="2" xr3:uid="{38089AEB-000B-C34B-BC4D-4D7D358F89FE}" name="Kolonne2" dataDxfId="11"/>
    <tableColumn id="3" xr3:uid="{C511FFFE-111C-F14F-A612-F12E6B332C45}" name="Kolonne3" dataDxfId="3"/>
    <tableColumn id="4" xr3:uid="{4C0D5201-4895-7341-8784-66D0B963EAFF}" name="Kolonne4" data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3C6E425-FBAE-EA47-9672-2987C2C6DDD1}" name="Tabel8" displayName="Tabel8" ref="B37:E39" headerRowCount="0" totalsRowShown="0" headerRowDxfId="6" dataDxfId="5">
  <tableColumns count="4">
    <tableColumn id="1" xr3:uid="{B7C51EFB-F3C3-1143-9CBF-3794DE6A5E90}" name="Kolonne1" dataDxfId="7"/>
    <tableColumn id="2" xr3:uid="{9783CCFF-8EEC-CF40-984C-9F17318EFE84}" name="Kolonne2" dataDxfId="2"/>
    <tableColumn id="3" xr3:uid="{11EC5FE5-B85B-2043-9A45-4D3F10FC3BA8}" name="Kolonne3" dataDxfId="1"/>
    <tableColumn id="4" xr3:uid="{4D6B7B0A-E805-1B4C-A5CB-BEF3CD1F3E71}" name="Kolonne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7E5F-3AF4-1E48-AC1F-A56A3161A5CD}">
  <dimension ref="A1:E39"/>
  <sheetViews>
    <sheetView tabSelected="1" topLeftCell="A2" zoomScaleNormal="100" workbookViewId="0">
      <selection activeCell="D37" sqref="D37"/>
    </sheetView>
  </sheetViews>
  <sheetFormatPr baseColWidth="10" defaultRowHeight="19" x14ac:dyDescent="0.25"/>
  <cols>
    <col min="1" max="1" width="3.1640625" style="3" customWidth="1"/>
    <col min="2" max="2" width="45.83203125" style="3" customWidth="1"/>
    <col min="3" max="3" width="2.33203125" style="3" customWidth="1"/>
    <col min="4" max="4" width="19.6640625" style="3" customWidth="1"/>
    <col min="5" max="5" width="11" style="3" customWidth="1"/>
    <col min="6" max="16384" width="10.83203125" style="3"/>
  </cols>
  <sheetData>
    <row r="1" spans="1:5" x14ac:dyDescent="0.25">
      <c r="B1" s="1"/>
      <c r="C1" s="1"/>
      <c r="D1" s="1"/>
    </row>
    <row r="2" spans="1:5" ht="67" customHeight="1" x14ac:dyDescent="0.25">
      <c r="B2" s="4"/>
      <c r="C2" s="4"/>
      <c r="D2" s="4"/>
    </row>
    <row r="3" spans="1:5" x14ac:dyDescent="0.25">
      <c r="B3" s="13" t="s">
        <v>0</v>
      </c>
    </row>
    <row r="5" spans="1:5" x14ac:dyDescent="0.25">
      <c r="B5" s="13" t="s">
        <v>62</v>
      </c>
    </row>
    <row r="6" spans="1:5" x14ac:dyDescent="0.25">
      <c r="B6" s="5" t="s">
        <v>1</v>
      </c>
      <c r="C6" s="6"/>
      <c r="D6" s="43">
        <v>1000</v>
      </c>
      <c r="E6" s="7" t="s">
        <v>6</v>
      </c>
    </row>
    <row r="7" spans="1:5" x14ac:dyDescent="0.25">
      <c r="B7" s="5" t="s">
        <v>2</v>
      </c>
      <c r="C7" s="6"/>
      <c r="D7" s="18">
        <v>0.95</v>
      </c>
      <c r="E7" s="7"/>
    </row>
    <row r="8" spans="1:5" x14ac:dyDescent="0.25">
      <c r="B8" s="5" t="s">
        <v>3</v>
      </c>
      <c r="C8" s="6"/>
      <c r="D8" s="43">
        <v>20</v>
      </c>
      <c r="E8" s="7" t="s">
        <v>7</v>
      </c>
    </row>
    <row r="9" spans="1:5" x14ac:dyDescent="0.25">
      <c r="B9" s="5" t="s">
        <v>4</v>
      </c>
      <c r="C9" s="6"/>
      <c r="D9" s="30" t="s">
        <v>39</v>
      </c>
      <c r="E9" s="7"/>
    </row>
    <row r="10" spans="1:5" x14ac:dyDescent="0.25">
      <c r="B10" s="8" t="s">
        <v>5</v>
      </c>
      <c r="C10" s="9"/>
      <c r="D10" s="19">
        <v>0</v>
      </c>
      <c r="E10" s="10"/>
    </row>
    <row r="11" spans="1:5" ht="16" customHeight="1" x14ac:dyDescent="0.25">
      <c r="B11" s="20"/>
      <c r="C11" s="20"/>
      <c r="D11" s="31"/>
      <c r="E11" s="20"/>
    </row>
    <row r="12" spans="1:5" ht="16" customHeight="1" thickBot="1" x14ac:dyDescent="0.3">
      <c r="B12" s="29" t="s">
        <v>64</v>
      </c>
      <c r="C12" s="20"/>
      <c r="D12" s="32" t="str">
        <f>IF(D9&gt;0,VLOOKUP(D16,Data!E12:I19,5)," ")</f>
        <v>Envotherm ZLD 3</v>
      </c>
      <c r="E12" s="20"/>
    </row>
    <row r="13" spans="1:5" ht="16" customHeight="1" thickTop="1" x14ac:dyDescent="0.25">
      <c r="D13" s="33"/>
    </row>
    <row r="14" spans="1:5" ht="16" hidden="1" customHeight="1" x14ac:dyDescent="0.25">
      <c r="A14" s="11"/>
      <c r="B14" s="11" t="s">
        <v>49</v>
      </c>
      <c r="C14" s="12"/>
      <c r="D14" s="34">
        <f>VLOOKUP(D9,Data!A7:B11,2,)</f>
        <v>0</v>
      </c>
      <c r="E14" s="12" t="s">
        <v>33</v>
      </c>
    </row>
    <row r="15" spans="1:5" ht="16" hidden="1" customHeight="1" x14ac:dyDescent="0.25">
      <c r="A15" s="11"/>
      <c r="B15" s="11"/>
      <c r="C15" s="11"/>
      <c r="D15" s="35"/>
      <c r="E15" s="11"/>
    </row>
    <row r="16" spans="1:5" ht="16" hidden="1" customHeight="1" x14ac:dyDescent="0.25">
      <c r="A16" s="11"/>
      <c r="B16" s="11" t="s">
        <v>50</v>
      </c>
      <c r="C16" s="12"/>
      <c r="D16" s="34" cm="1">
        <f t="array" ref="D16">MIN(IF(Data!E12:E19&gt;D6,Data!E12:E19))</f>
        <v>1300</v>
      </c>
      <c r="E16" s="12" t="s">
        <v>41</v>
      </c>
    </row>
    <row r="17" spans="1:5" ht="16" hidden="1" customHeight="1" x14ac:dyDescent="0.25">
      <c r="A17" s="11"/>
      <c r="B17" s="11" t="s">
        <v>51</v>
      </c>
      <c r="C17" s="12"/>
      <c r="D17" s="34">
        <f>VLOOKUP(D16,Data!E12:G19,3)</f>
        <v>35</v>
      </c>
      <c r="E17" s="12" t="s">
        <v>52</v>
      </c>
    </row>
    <row r="18" spans="1:5" ht="16" hidden="1" customHeight="1" x14ac:dyDescent="0.25">
      <c r="A18" s="11"/>
      <c r="B18" s="11" t="s">
        <v>53</v>
      </c>
      <c r="C18" s="11"/>
      <c r="D18" s="35">
        <f>D6</f>
        <v>1000</v>
      </c>
      <c r="E18" s="11" t="s">
        <v>54</v>
      </c>
    </row>
    <row r="19" spans="1:5" ht="16" hidden="1" customHeight="1" x14ac:dyDescent="0.25">
      <c r="A19" s="11"/>
      <c r="B19" s="11" t="s">
        <v>55</v>
      </c>
      <c r="C19" s="11"/>
      <c r="D19" s="35">
        <f>D6*(1-D7)*2</f>
        <v>100.00000000000009</v>
      </c>
      <c r="E19" s="11" t="s">
        <v>54</v>
      </c>
    </row>
    <row r="20" spans="1:5" ht="16" customHeight="1" x14ac:dyDescent="0.25">
      <c r="D20" s="36"/>
    </row>
    <row r="21" spans="1:5" ht="16" customHeight="1" x14ac:dyDescent="0.25">
      <c r="B21" s="3" t="s">
        <v>63</v>
      </c>
      <c r="D21" s="36"/>
    </row>
    <row r="22" spans="1:5" x14ac:dyDescent="0.25">
      <c r="B22" s="21" t="s">
        <v>8</v>
      </c>
      <c r="C22" s="22"/>
      <c r="D22" s="37">
        <f>IF(D10=0,D18*Data!B4,D19*Data!B4)</f>
        <v>767.82235000000003</v>
      </c>
      <c r="E22" s="22" t="s">
        <v>59</v>
      </c>
    </row>
    <row r="23" spans="1:5" x14ac:dyDescent="0.25">
      <c r="B23" s="23" t="s">
        <v>9</v>
      </c>
      <c r="C23" s="24"/>
      <c r="D23" s="38">
        <f>IF(D14=0,D18*D8*Data!B2,D19*D8*Data!B2)</f>
        <v>1719.9999999999998</v>
      </c>
      <c r="E23" s="24" t="s">
        <v>59</v>
      </c>
    </row>
    <row r="24" spans="1:5" x14ac:dyDescent="0.25">
      <c r="B24" s="21" t="s">
        <v>11</v>
      </c>
      <c r="C24" s="22"/>
      <c r="D24" s="37">
        <f>IF(D14=0,D18*Data!B10,D19*Data!B10)</f>
        <v>305257.04000000004</v>
      </c>
      <c r="E24" s="22" t="s">
        <v>59</v>
      </c>
    </row>
    <row r="25" spans="1:5" x14ac:dyDescent="0.25">
      <c r="B25" s="23" t="s">
        <v>12</v>
      </c>
      <c r="C25" s="24"/>
      <c r="D25" s="38">
        <f>D14*D18</f>
        <v>0</v>
      </c>
      <c r="E25" s="24" t="s">
        <v>59</v>
      </c>
    </row>
    <row r="26" spans="1:5" ht="21" customHeight="1" x14ac:dyDescent="0.25">
      <c r="B26" s="25" t="s">
        <v>13</v>
      </c>
      <c r="C26" s="22"/>
      <c r="D26" s="39">
        <f>SUM(D22:D25)</f>
        <v>307744.86235000001</v>
      </c>
      <c r="E26" s="26" t="s">
        <v>60</v>
      </c>
    </row>
    <row r="27" spans="1:5" ht="21" customHeight="1" x14ac:dyDescent="0.25">
      <c r="D27" s="36"/>
    </row>
    <row r="28" spans="1:5" x14ac:dyDescent="0.25">
      <c r="D28" s="36"/>
    </row>
    <row r="29" spans="1:5" x14ac:dyDescent="0.25">
      <c r="B29" s="13" t="s">
        <v>14</v>
      </c>
      <c r="D29" s="36"/>
    </row>
    <row r="30" spans="1:5" x14ac:dyDescent="0.25">
      <c r="B30" s="3" t="s">
        <v>8</v>
      </c>
      <c r="D30" s="36">
        <f>IF(D10=0,D18*Data!B4,D19*Data!B4)</f>
        <v>767.82235000000003</v>
      </c>
      <c r="E30" s="3" t="s">
        <v>59</v>
      </c>
    </row>
    <row r="31" spans="1:5" x14ac:dyDescent="0.25">
      <c r="B31" s="3" t="s">
        <v>15</v>
      </c>
      <c r="D31" s="36">
        <f>IF(D14=0,D18*D8*Data!B2,D19*D8*Data!B2)</f>
        <v>1719.9999999999998</v>
      </c>
      <c r="E31" s="3" t="s">
        <v>59</v>
      </c>
    </row>
    <row r="32" spans="1:5" x14ac:dyDescent="0.25">
      <c r="B32" s="3" t="s">
        <v>10</v>
      </c>
      <c r="D32" s="36">
        <f>D19*Data!B10</f>
        <v>30525.704000000027</v>
      </c>
      <c r="E32" s="3" t="s">
        <v>59</v>
      </c>
    </row>
    <row r="33" spans="2:5" x14ac:dyDescent="0.25">
      <c r="B33" s="14" t="str">
        <f>IF(D9&gt;0,VLOOKUP(D16,Data!E12:I19,5)," ")</f>
        <v>Envotherm ZLD 3</v>
      </c>
      <c r="D33" s="36">
        <f>IF(D6&gt;0,D6*Data!B5*D17," ")</f>
        <v>12779.900000000001</v>
      </c>
      <c r="E33" s="3" t="s">
        <v>59</v>
      </c>
    </row>
    <row r="34" spans="2:5" x14ac:dyDescent="0.25">
      <c r="B34" s="13" t="s">
        <v>13</v>
      </c>
      <c r="D34" s="40">
        <f>SUM(D28:D33)</f>
        <v>45793.426350000031</v>
      </c>
      <c r="E34" s="13" t="s">
        <v>60</v>
      </c>
    </row>
    <row r="35" spans="2:5" x14ac:dyDescent="0.25">
      <c r="D35" s="36"/>
    </row>
    <row r="36" spans="2:5" x14ac:dyDescent="0.25">
      <c r="D36" s="36"/>
    </row>
    <row r="37" spans="2:5" ht="21" x14ac:dyDescent="0.25">
      <c r="B37" s="13" t="s">
        <v>56</v>
      </c>
      <c r="C37" s="13"/>
      <c r="D37" s="44">
        <f>IF(E6=0," ",(D24+D25-D33-D32)/Data!B5)</f>
        <v>717399.99999999988</v>
      </c>
      <c r="E37" s="15" t="s">
        <v>52</v>
      </c>
    </row>
    <row r="38" spans="2:5" ht="22" thickBot="1" x14ac:dyDescent="0.3">
      <c r="B38" s="27" t="s">
        <v>58</v>
      </c>
      <c r="C38" s="27"/>
      <c r="D38" s="41">
        <f>IF(D6=0," ",(D26-D34)/D26)</f>
        <v>0.85119678034488555</v>
      </c>
      <c r="E38" s="16"/>
    </row>
    <row r="39" spans="2:5" ht="26" thickBot="1" x14ac:dyDescent="0.4">
      <c r="B39" s="28" t="s">
        <v>57</v>
      </c>
      <c r="C39" s="28"/>
      <c r="D39" s="42">
        <f>IF(E6=0," ",D26-D34)</f>
        <v>261951.43599999999</v>
      </c>
      <c r="E39" s="17" t="s">
        <v>61</v>
      </c>
    </row>
  </sheetData>
  <mergeCells count="1">
    <mergeCell ref="B1:D1"/>
  </mergeCells>
  <printOptions gridLines="1"/>
  <pageMargins left="0.7" right="0.7" top="0.75" bottom="0.75" header="0.3" footer="0.3"/>
  <pageSetup paperSize="9" orientation="portrait" horizontalDpi="0" verticalDpi="0"/>
  <drawing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79B7C2-3370-6646-B83F-3F625C3E94E3}">
          <x14:formula1>
            <xm:f>Data!$A$7:$A$11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07651-0592-954B-9C65-11F89E7B5CBC}">
  <dimension ref="A1:I19"/>
  <sheetViews>
    <sheetView workbookViewId="0">
      <selection activeCell="B32" sqref="B32"/>
    </sheetView>
  </sheetViews>
  <sheetFormatPr baseColWidth="10" defaultRowHeight="16" x14ac:dyDescent="0.2"/>
  <cols>
    <col min="1" max="1" width="30.1640625" customWidth="1"/>
    <col min="2" max="8" width="12.83203125" customWidth="1"/>
    <col min="9" max="9" width="18.5" customWidth="1"/>
    <col min="10" max="10" width="12.83203125" customWidth="1"/>
  </cols>
  <sheetData>
    <row r="1" spans="1:9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9" x14ac:dyDescent="0.2">
      <c r="A2" t="s">
        <v>21</v>
      </c>
      <c r="B2">
        <v>8.5999999999999993E-2</v>
      </c>
      <c r="C2" t="s">
        <v>22</v>
      </c>
      <c r="D2" t="s">
        <v>23</v>
      </c>
    </row>
    <row r="3" spans="1:9" x14ac:dyDescent="0.2">
      <c r="A3" t="s">
        <v>24</v>
      </c>
      <c r="B3">
        <v>9.1467779999999995E-3</v>
      </c>
      <c r="C3" t="s">
        <v>25</v>
      </c>
      <c r="D3" t="s">
        <v>26</v>
      </c>
    </row>
    <row r="4" spans="1:9" x14ac:dyDescent="0.2">
      <c r="A4" t="s">
        <v>27</v>
      </c>
      <c r="B4">
        <v>0.76782234999999999</v>
      </c>
      <c r="C4" t="s">
        <v>28</v>
      </c>
      <c r="D4" t="s">
        <v>29</v>
      </c>
    </row>
    <row r="5" spans="1:9" x14ac:dyDescent="0.2">
      <c r="A5" t="s">
        <v>30</v>
      </c>
      <c r="B5">
        <v>0.36514000000000002</v>
      </c>
      <c r="C5" t="s">
        <v>31</v>
      </c>
      <c r="D5" t="s">
        <v>26</v>
      </c>
    </row>
    <row r="7" spans="1:9" x14ac:dyDescent="0.2">
      <c r="A7" t="s">
        <v>32</v>
      </c>
      <c r="B7">
        <f>0.009146778*1000</f>
        <v>9.1467779999999994</v>
      </c>
      <c r="C7" t="s">
        <v>33</v>
      </c>
      <c r="D7" t="s">
        <v>26</v>
      </c>
    </row>
    <row r="8" spans="1:9" x14ac:dyDescent="0.2">
      <c r="A8" t="s">
        <v>34</v>
      </c>
      <c r="B8">
        <f>$B$5*G8</f>
        <v>82.156500000000008</v>
      </c>
      <c r="C8" t="s">
        <v>33</v>
      </c>
      <c r="D8" t="s">
        <v>35</v>
      </c>
      <c r="G8">
        <v>225</v>
      </c>
      <c r="H8" t="s">
        <v>36</v>
      </c>
    </row>
    <row r="9" spans="1:9" x14ac:dyDescent="0.2">
      <c r="A9" t="s">
        <v>37</v>
      </c>
      <c r="B9">
        <f>$B$5*G9</f>
        <v>31.036900000000003</v>
      </c>
      <c r="C9" t="s">
        <v>33</v>
      </c>
      <c r="D9" t="s">
        <v>35</v>
      </c>
      <c r="G9">
        <v>85</v>
      </c>
      <c r="H9" t="s">
        <v>36</v>
      </c>
    </row>
    <row r="10" spans="1:9" x14ac:dyDescent="0.2">
      <c r="A10" t="s">
        <v>38</v>
      </c>
      <c r="B10">
        <f>$B$5*G10</f>
        <v>305.25704000000002</v>
      </c>
      <c r="C10" t="s">
        <v>33</v>
      </c>
      <c r="D10" t="s">
        <v>35</v>
      </c>
      <c r="G10">
        <v>836</v>
      </c>
      <c r="H10" t="s">
        <v>36</v>
      </c>
    </row>
    <row r="11" spans="1:9" x14ac:dyDescent="0.2">
      <c r="A11" t="s">
        <v>39</v>
      </c>
      <c r="B11">
        <v>0</v>
      </c>
      <c r="C11" t="s">
        <v>33</v>
      </c>
      <c r="D11" t="s">
        <v>35</v>
      </c>
    </row>
    <row r="12" spans="1:9" x14ac:dyDescent="0.2">
      <c r="A12" s="2" t="s">
        <v>40</v>
      </c>
      <c r="B12" s="2">
        <f t="shared" ref="B12:B19" si="0">$B$5*G12</f>
        <v>16.4313</v>
      </c>
      <c r="C12" s="2" t="s">
        <v>33</v>
      </c>
      <c r="D12" s="2" t="s">
        <v>35</v>
      </c>
      <c r="E12" s="2">
        <v>400</v>
      </c>
      <c r="F12" s="2" t="s">
        <v>41</v>
      </c>
      <c r="G12" s="2">
        <v>45</v>
      </c>
      <c r="H12" s="2" t="s">
        <v>36</v>
      </c>
      <c r="I12" s="2" t="s">
        <v>40</v>
      </c>
    </row>
    <row r="13" spans="1:9" x14ac:dyDescent="0.2">
      <c r="A13" s="2" t="s">
        <v>42</v>
      </c>
      <c r="B13" s="2">
        <f t="shared" si="0"/>
        <v>14.605600000000001</v>
      </c>
      <c r="C13" s="2" t="s">
        <v>33</v>
      </c>
      <c r="D13" s="2"/>
      <c r="E13" s="2">
        <v>800</v>
      </c>
      <c r="F13" s="2" t="s">
        <v>41</v>
      </c>
      <c r="G13" s="2">
        <v>40</v>
      </c>
      <c r="H13" s="2" t="s">
        <v>36</v>
      </c>
      <c r="I13" s="2" t="s">
        <v>42</v>
      </c>
    </row>
    <row r="14" spans="1:9" x14ac:dyDescent="0.2">
      <c r="A14" s="2" t="s">
        <v>43</v>
      </c>
      <c r="B14" s="2">
        <f t="shared" si="0"/>
        <v>12.779900000000001</v>
      </c>
      <c r="C14" s="2" t="s">
        <v>33</v>
      </c>
      <c r="D14" s="2"/>
      <c r="E14" s="2">
        <v>1300</v>
      </c>
      <c r="F14" s="2" t="s">
        <v>41</v>
      </c>
      <c r="G14" s="2">
        <v>35</v>
      </c>
      <c r="H14" s="2" t="s">
        <v>36</v>
      </c>
      <c r="I14" s="2" t="s">
        <v>43</v>
      </c>
    </row>
    <row r="15" spans="1:9" x14ac:dyDescent="0.2">
      <c r="A15" s="2" t="s">
        <v>44</v>
      </c>
      <c r="B15" s="2">
        <f t="shared" si="0"/>
        <v>12.779900000000001</v>
      </c>
      <c r="C15" s="2" t="s">
        <v>33</v>
      </c>
      <c r="D15" s="2"/>
      <c r="E15" s="2">
        <v>1800</v>
      </c>
      <c r="F15" s="2" t="s">
        <v>41</v>
      </c>
      <c r="G15" s="2">
        <v>35</v>
      </c>
      <c r="H15" s="2" t="s">
        <v>36</v>
      </c>
      <c r="I15" s="2" t="s">
        <v>44</v>
      </c>
    </row>
    <row r="16" spans="1:9" x14ac:dyDescent="0.2">
      <c r="A16" s="2" t="s">
        <v>45</v>
      </c>
      <c r="B16" s="2">
        <f t="shared" si="0"/>
        <v>12.779900000000001</v>
      </c>
      <c r="C16" s="2" t="s">
        <v>33</v>
      </c>
      <c r="D16" s="2"/>
      <c r="E16" s="2">
        <v>2000</v>
      </c>
      <c r="F16" s="2" t="s">
        <v>41</v>
      </c>
      <c r="G16" s="2">
        <v>35</v>
      </c>
      <c r="H16" s="2" t="s">
        <v>36</v>
      </c>
      <c r="I16" s="2" t="s">
        <v>45</v>
      </c>
    </row>
    <row r="17" spans="1:9" x14ac:dyDescent="0.2">
      <c r="A17" s="2" t="s">
        <v>46</v>
      </c>
      <c r="B17" s="2">
        <f t="shared" si="0"/>
        <v>12.779900000000001</v>
      </c>
      <c r="C17" s="2" t="s">
        <v>33</v>
      </c>
      <c r="D17" s="2"/>
      <c r="E17" s="2">
        <v>2600</v>
      </c>
      <c r="F17" s="2" t="s">
        <v>41</v>
      </c>
      <c r="G17" s="2">
        <v>35</v>
      </c>
      <c r="H17" s="2" t="s">
        <v>36</v>
      </c>
      <c r="I17" s="2" t="s">
        <v>46</v>
      </c>
    </row>
    <row r="18" spans="1:9" x14ac:dyDescent="0.2">
      <c r="A18" s="2" t="s">
        <v>47</v>
      </c>
      <c r="B18" s="2">
        <f t="shared" si="0"/>
        <v>9.1285000000000007</v>
      </c>
      <c r="C18" s="2" t="s">
        <v>33</v>
      </c>
      <c r="D18" s="2"/>
      <c r="E18" s="2">
        <v>4300</v>
      </c>
      <c r="F18" s="2" t="s">
        <v>41</v>
      </c>
      <c r="G18" s="2">
        <v>25</v>
      </c>
      <c r="H18" s="2" t="s">
        <v>36</v>
      </c>
      <c r="I18" s="2" t="s">
        <v>47</v>
      </c>
    </row>
    <row r="19" spans="1:9" x14ac:dyDescent="0.2">
      <c r="A19" s="2" t="s">
        <v>48</v>
      </c>
      <c r="B19" s="2">
        <f t="shared" si="0"/>
        <v>9.1285000000000007</v>
      </c>
      <c r="C19" s="2" t="s">
        <v>33</v>
      </c>
      <c r="D19" s="2"/>
      <c r="E19" s="2">
        <v>8700</v>
      </c>
      <c r="F19" s="2" t="s">
        <v>41</v>
      </c>
      <c r="G19" s="2">
        <v>25</v>
      </c>
      <c r="H19" s="2" t="s">
        <v>36</v>
      </c>
      <c r="I19" s="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2021-04-19T11:15:15Z</dcterms:created>
  <dcterms:modified xsi:type="dcterms:W3CDTF">2021-04-19T12:54:05Z</dcterms:modified>
</cp:coreProperties>
</file>